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600" windowHeight="11700" tabRatio="703" activeTab="0"/>
  </bookViews>
  <sheets>
    <sheet name="RAModel" sheetId="1" r:id="rId1"/>
    <sheet name="Reg-DW Fixed" sheetId="2" r:id="rId2"/>
    <sheet name="NC - Breakdown" sheetId="3" r:id="rId3"/>
  </sheets>
  <definedNames/>
  <calcPr fullCalcOnLoad="1"/>
</workbook>
</file>

<file path=xl/sharedStrings.xml><?xml version="1.0" encoding="utf-8"?>
<sst xmlns="http://schemas.openxmlformats.org/spreadsheetml/2006/main" count="124" uniqueCount="102">
  <si>
    <t>Regulatory/Manadatory Costs</t>
  </si>
  <si>
    <t>Variable Allocation</t>
  </si>
  <si>
    <t>Fresno City</t>
  </si>
  <si>
    <t>Reedley</t>
  </si>
  <si>
    <t>Willow</t>
  </si>
  <si>
    <t>Madera</t>
  </si>
  <si>
    <t>Oakhurst</t>
  </si>
  <si>
    <t>College &gt; 10K   (&gt;9,236)</t>
  </si>
  <si>
    <t>College &lt; 10K   (&lt;9,236)</t>
  </si>
  <si>
    <t>Basic Allocation</t>
  </si>
  <si>
    <t>2010-11</t>
  </si>
  <si>
    <t>State Center CCD</t>
  </si>
  <si>
    <t>Credit</t>
  </si>
  <si>
    <t>Non-Credit</t>
  </si>
  <si>
    <t>Total</t>
  </si>
  <si>
    <t>Regulatory</t>
  </si>
  <si>
    <t>District Office</t>
  </si>
  <si>
    <t>District-Wide Fixed Costs</t>
  </si>
  <si>
    <t>Districtwide/</t>
  </si>
  <si>
    <t>FY 2010-2011 BASE ALLOCATION</t>
  </si>
  <si>
    <t>PERMANENT ALLOCATION ADJUSTMENTS</t>
  </si>
  <si>
    <t>Certificated Step/Column Increase</t>
  </si>
  <si>
    <t>Classified Step Increase</t>
  </si>
  <si>
    <t>Management/Confidential Step Increase</t>
  </si>
  <si>
    <t>Cal PERS (Increased 0.216%)</t>
  </si>
  <si>
    <t>Prop. &amp; Liability Ins.</t>
  </si>
  <si>
    <t>Utilities</t>
  </si>
  <si>
    <t xml:space="preserve">SUI Increase (Increased 0.89%) </t>
  </si>
  <si>
    <t>FY2011-2012 SUBTOTAL</t>
  </si>
  <si>
    <t>State Appt Reduction FY2011-2012</t>
  </si>
  <si>
    <t>FY 2011-2012 ADJUSTED BASE ALLOCATION</t>
  </si>
  <si>
    <t>CURRENT YEAR ADJUSTMENTS</t>
  </si>
  <si>
    <t xml:space="preserve">   Retiree Health  (Pay-As-You-Go)</t>
  </si>
  <si>
    <t xml:space="preserve">   Facilities Rental</t>
  </si>
  <si>
    <t xml:space="preserve">   Campus Lab School Charges</t>
  </si>
  <si>
    <t xml:space="preserve">   Misc. Revenues</t>
  </si>
  <si>
    <t>TOTAL CURRENT YEAR ADJUSTMENTS</t>
  </si>
  <si>
    <t>FY 2011-2012 FINAL ALLOCATION</t>
  </si>
  <si>
    <t xml:space="preserve">   (XX0 ONLY)</t>
  </si>
  <si>
    <t>Retiree Health</t>
  </si>
  <si>
    <t>Utilties</t>
  </si>
  <si>
    <t>Insurance</t>
  </si>
  <si>
    <t>Elections</t>
  </si>
  <si>
    <t>Audit</t>
  </si>
  <si>
    <t>Accreditation</t>
  </si>
  <si>
    <t>Mandated Costs</t>
  </si>
  <si>
    <t>Datatel/Blackboard Licensing</t>
  </si>
  <si>
    <t>Measure E Oversight</t>
  </si>
  <si>
    <t>Credit - FTES Allocation</t>
  </si>
  <si>
    <t>Non-Credit - FTES Allocation</t>
  </si>
  <si>
    <t>2011-12</t>
  </si>
  <si>
    <t>Fixed Districtwide Services</t>
  </si>
  <si>
    <t>Estimated Costs</t>
  </si>
  <si>
    <t>RAMT - Resource Allocation Model Taskforce</t>
  </si>
  <si>
    <t xml:space="preserve">March 16, 2012 - Draft </t>
  </si>
  <si>
    <t>Total Committed Costs</t>
  </si>
  <si>
    <t xml:space="preserve">Total Committed Costs </t>
  </si>
  <si>
    <t>District Allocation less committed costs</t>
  </si>
  <si>
    <t>SCCCD's Total XX0 Allocation of 2011-12</t>
  </si>
  <si>
    <t>Actual FTES 2010-11</t>
  </si>
  <si>
    <t>DATA ELEMENTS</t>
  </si>
  <si>
    <t>District Office / Operations</t>
  </si>
  <si>
    <t>DO / Operations</t>
  </si>
  <si>
    <t>Reg/Fixed</t>
  </si>
  <si>
    <t>Total Allocation</t>
  </si>
  <si>
    <t>Integrated Planning Items</t>
  </si>
  <si>
    <t>Allocations Off-The-Top</t>
  </si>
  <si>
    <t>Total Allocation Off-The-Top</t>
  </si>
  <si>
    <t>Total Basic Allocation</t>
  </si>
  <si>
    <t>Total Variable Allocation</t>
  </si>
  <si>
    <t>Percentage of Allocation</t>
  </si>
  <si>
    <t>Allocation before District Office/Oper</t>
  </si>
  <si>
    <t>Allocations after District Office/Oper Alloc</t>
  </si>
  <si>
    <t>District Office/Oper Allocation</t>
  </si>
  <si>
    <t>Allocation in excess of Resources</t>
  </si>
  <si>
    <t>Final Allocation</t>
  </si>
  <si>
    <t>Credit Apportionment Rate</t>
  </si>
  <si>
    <t>Non-Credit Apportionment Rate</t>
  </si>
  <si>
    <t>District Office/Oper share of total district's XX0 Allocation</t>
  </si>
  <si>
    <t>11-12 Funded FTES - Allocated based on 10-11 Actual FTES</t>
  </si>
  <si>
    <t>State Approved Centers</t>
  </si>
  <si>
    <t>Percentage of Allocation - Excluding DO/Reg/Fixed</t>
  </si>
  <si>
    <t>Unrestricted General Fund Revenues</t>
  </si>
  <si>
    <t>Allocation per New Resouce Allocation Model</t>
  </si>
  <si>
    <t>Increase (Decrease) generated by New Model</t>
  </si>
  <si>
    <t>North Center General Fund Breakdown</t>
  </si>
  <si>
    <t xml:space="preserve">2008-09 </t>
  </si>
  <si>
    <t>2009-10</t>
  </si>
  <si>
    <t>XX0 Allocation</t>
  </si>
  <si>
    <t>3-yr Avg</t>
  </si>
  <si>
    <t>MC</t>
  </si>
  <si>
    <t>WI</t>
  </si>
  <si>
    <t>OC</t>
  </si>
  <si>
    <t>Allocation Sch Date</t>
  </si>
  <si>
    <t>of  District's total XX0 Allocation</t>
  </si>
  <si>
    <t>Total Resource Available for Allocation</t>
  </si>
  <si>
    <t>Plus $500K LT0 &amp; $684K Parking Maint Transfer for total reserve usage of $4,934,747</t>
  </si>
  <si>
    <t>Use of Reserves XX0</t>
  </si>
  <si>
    <t>Unrestricted Gen Fund Resources Available</t>
  </si>
  <si>
    <t>SCCCD Resource Allocation Model - Simulated for 2011-12</t>
  </si>
  <si>
    <t xml:space="preserve">2011-12 Allocation (Current Model) </t>
  </si>
  <si>
    <t>DRAFT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</si>
</sst>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  <numFmt numFmtId="167" formatCode="_(&quot;$&quot;* #,##0_);_(&quot;$&quot;* \(#,##0\);_(&quot;$&quot;* &quot;-&quot;???_);_(@_)"/>
    <numFmt numFmtId="168" formatCode="0.0000%"/>
    <numFmt numFmtId="169" formatCode="#,##0\ &quot;F&quot;;\-#,##0\ &quot;F&quot;"/>
    <numFmt numFmtId="170" formatCode="#,##0\ &quot;F&quot;;[Red]\-#,##0\ &quot;F&quot;"/>
    <numFmt numFmtId="171" formatCode="###0"/>
    <numFmt numFmtId="172" formatCode="_-* #,##0.0_-;\-* #,##0.0_-;_-* &quot;-&quot;??_-;_-@_-"/>
    <numFmt numFmtId="173" formatCode="_ * #,##0.00_)_£_ ;_ * \(#,##0.00\)_£_ ;_ * &quot;-&quot;??_)_£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u val="single"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i/>
      <sz val="8.5"/>
      <name val="Arial"/>
      <family val="2"/>
    </font>
    <font>
      <b/>
      <sz val="10"/>
      <name val="Arial"/>
      <family val="2"/>
    </font>
    <font>
      <b/>
      <i/>
      <sz val="8.5"/>
      <name val="Arial"/>
      <family val="2"/>
    </font>
    <font>
      <i/>
      <sz val="8.5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2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169" fontId="14" fillId="0" borderId="0" applyFill="0" applyBorder="0" applyAlignment="0">
      <protection/>
    </xf>
    <xf numFmtId="170" fontId="14" fillId="0" borderId="0" applyFill="0" applyBorder="0" applyAlignment="0">
      <protection/>
    </xf>
    <xf numFmtId="170" fontId="14" fillId="0" borderId="0" applyFill="0" applyBorder="0" applyAlignment="0">
      <protection/>
    </xf>
    <xf numFmtId="169" fontId="14" fillId="0" borderId="0" applyFill="0" applyBorder="0" applyAlignment="0">
      <protection/>
    </xf>
    <xf numFmtId="170" fontId="14" fillId="0" borderId="0" applyFill="0" applyBorder="0" applyAlignment="0">
      <protection/>
    </xf>
    <xf numFmtId="169" fontId="14" fillId="0" borderId="0" applyFill="0" applyBorder="0" applyAlignment="0">
      <protection/>
    </xf>
    <xf numFmtId="170" fontId="14" fillId="0" borderId="0" applyFill="0" applyBorder="0" applyAlignment="0">
      <protection/>
    </xf>
    <xf numFmtId="170" fontId="14" fillId="0" borderId="0" applyFill="0" applyBorder="0" applyAlignment="0">
      <protection/>
    </xf>
    <xf numFmtId="0" fontId="41" fillId="26" borderId="1" applyNumberFormat="0" applyAlignment="0" applyProtection="0"/>
    <xf numFmtId="0" fontId="4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40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20" fillId="0" borderId="0" applyFill="0" applyBorder="0" applyAlignment="0">
      <protection/>
    </xf>
    <xf numFmtId="38" fontId="6" fillId="0" borderId="3">
      <alignment vertical="center"/>
      <protection/>
    </xf>
    <xf numFmtId="169" fontId="14" fillId="0" borderId="0" applyFill="0" applyBorder="0" applyAlignment="0">
      <protection/>
    </xf>
    <xf numFmtId="170" fontId="14" fillId="0" borderId="0" applyFill="0" applyBorder="0" applyAlignment="0">
      <protection/>
    </xf>
    <xf numFmtId="169" fontId="14" fillId="0" borderId="0" applyFill="0" applyBorder="0" applyAlignment="0">
      <protection/>
    </xf>
    <xf numFmtId="170" fontId="14" fillId="0" borderId="0" applyFill="0" applyBorder="0" applyAlignment="0">
      <protection/>
    </xf>
    <xf numFmtId="170" fontId="14" fillId="0" borderId="0" applyFill="0" applyBorder="0" applyAlignment="0">
      <protection/>
    </xf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1" fillId="0" borderId="4" applyNumberFormat="0" applyAlignment="0" applyProtection="0"/>
    <xf numFmtId="0" fontId="21" fillId="0" borderId="5">
      <alignment horizontal="left" vertical="center"/>
      <protection/>
    </xf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169" fontId="14" fillId="0" borderId="0" applyFill="0" applyBorder="0" applyAlignment="0">
      <protection/>
    </xf>
    <xf numFmtId="170" fontId="14" fillId="0" borderId="0" applyFill="0" applyBorder="0" applyAlignment="0">
      <protection/>
    </xf>
    <xf numFmtId="169" fontId="14" fillId="0" borderId="0" applyFill="0" applyBorder="0" applyAlignment="0">
      <protection/>
    </xf>
    <xf numFmtId="170" fontId="14" fillId="0" borderId="0" applyFill="0" applyBorder="0" applyAlignment="0">
      <protection/>
    </xf>
    <xf numFmtId="170" fontId="14" fillId="0" borderId="0" applyFill="0" applyBorder="0" applyAlignment="0">
      <protection/>
    </xf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171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10" applyNumberFormat="0" applyFont="0" applyAlignment="0" applyProtection="0"/>
    <xf numFmtId="0" fontId="51" fillId="26" borderId="11" applyNumberFormat="0" applyAlignment="0" applyProtection="0"/>
    <xf numFmtId="9" fontId="1" fillId="0" borderId="0" applyFont="0" applyFill="0" applyBorder="0" applyAlignment="0" applyProtection="0"/>
    <xf numFmtId="170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14" fillId="0" borderId="0" applyFill="0" applyBorder="0" applyAlignment="0">
      <protection/>
    </xf>
    <xf numFmtId="170" fontId="14" fillId="0" borderId="0" applyFill="0" applyBorder="0" applyAlignment="0">
      <protection/>
    </xf>
    <xf numFmtId="169" fontId="14" fillId="0" borderId="0" applyFill="0" applyBorder="0" applyAlignment="0">
      <protection/>
    </xf>
    <xf numFmtId="170" fontId="14" fillId="0" borderId="0" applyFill="0" applyBorder="0" applyAlignment="0">
      <protection/>
    </xf>
    <xf numFmtId="170" fontId="14" fillId="0" borderId="0" applyFill="0" applyBorder="0" applyAlignment="0">
      <protection/>
    </xf>
    <xf numFmtId="49" fontId="20" fillId="0" borderId="0" applyFill="0" applyBorder="0" applyAlignment="0">
      <protection/>
    </xf>
    <xf numFmtId="173" fontId="14" fillId="0" borderId="0" applyFill="0" applyBorder="0" applyAlignment="0">
      <protection/>
    </xf>
    <xf numFmtId="169" fontId="14" fillId="0" borderId="0" applyFill="0" applyBorder="0" applyAlignment="0">
      <protection/>
    </xf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50" applyNumberFormat="1" applyFont="1" applyAlignment="1">
      <alignment/>
    </xf>
    <xf numFmtId="164" fontId="2" fillId="0" borderId="13" xfId="50" applyNumberFormat="1" applyFont="1" applyBorder="1" applyAlignment="1">
      <alignment/>
    </xf>
    <xf numFmtId="0" fontId="3" fillId="0" borderId="0" xfId="0" applyFont="1" applyAlignment="1">
      <alignment/>
    </xf>
    <xf numFmtId="165" fontId="3" fillId="0" borderId="0" xfId="54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5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5" fontId="2" fillId="0" borderId="0" xfId="54" applyNumberFormat="1" applyFont="1" applyAlignment="1">
      <alignment/>
    </xf>
    <xf numFmtId="165" fontId="2" fillId="0" borderId="13" xfId="54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48" fillId="29" borderId="1" xfId="74" applyNumberFormat="1" applyAlignment="1">
      <alignment/>
    </xf>
    <xf numFmtId="0" fontId="2" fillId="0" borderId="0" xfId="0" applyFont="1" applyAlignment="1">
      <alignment horizontal="left" indent="2"/>
    </xf>
    <xf numFmtId="37" fontId="5" fillId="0" borderId="0" xfId="0" applyNumberFormat="1" applyFont="1" applyAlignment="1">
      <alignment horizontal="center"/>
    </xf>
    <xf numFmtId="37" fontId="5" fillId="0" borderId="14" xfId="0" applyNumberFormat="1" applyFont="1" applyBorder="1" applyAlignment="1">
      <alignment horizontal="center"/>
    </xf>
    <xf numFmtId="42" fontId="6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/>
    </xf>
    <xf numFmtId="41" fontId="0" fillId="0" borderId="0" xfId="0" applyNumberFormat="1" applyAlignment="1">
      <alignment/>
    </xf>
    <xf numFmtId="37" fontId="0" fillId="0" borderId="14" xfId="0" applyNumberFormat="1" applyBorder="1" applyAlignment="1">
      <alignment/>
    </xf>
    <xf numFmtId="42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42" fontId="0" fillId="0" borderId="14" xfId="0" applyNumberFormat="1" applyBorder="1" applyAlignment="1">
      <alignment/>
    </xf>
    <xf numFmtId="5" fontId="5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14" xfId="0" applyNumberFormat="1" applyBorder="1" applyAlignment="1">
      <alignment/>
    </xf>
    <xf numFmtId="165" fontId="5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65" fontId="2" fillId="0" borderId="0" xfId="0" applyNumberFormat="1" applyFont="1" applyAlignment="1">
      <alignment/>
    </xf>
    <xf numFmtId="10" fontId="2" fillId="0" borderId="0" xfId="89" applyNumberFormat="1" applyFont="1" applyAlignment="1">
      <alignment/>
    </xf>
    <xf numFmtId="166" fontId="2" fillId="0" borderId="0" xfId="89" applyNumberFormat="1" applyFont="1" applyAlignment="1">
      <alignment/>
    </xf>
    <xf numFmtId="164" fontId="2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14" xfId="50" applyNumberFormat="1" applyFont="1" applyBorder="1" applyAlignment="1">
      <alignment/>
    </xf>
    <xf numFmtId="41" fontId="0" fillId="0" borderId="16" xfId="0" applyNumberForma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65" fontId="48" fillId="29" borderId="1" xfId="74" applyNumberFormat="1" applyAlignment="1">
      <alignment/>
    </xf>
    <xf numFmtId="0" fontId="11" fillId="0" borderId="14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164" fontId="13" fillId="0" borderId="0" xfId="50" applyNumberFormat="1" applyFont="1" applyAlignment="1">
      <alignment/>
    </xf>
    <xf numFmtId="0" fontId="13" fillId="0" borderId="0" xfId="0" applyFont="1" applyAlignment="1">
      <alignment horizontal="right"/>
    </xf>
    <xf numFmtId="165" fontId="3" fillId="0" borderId="13" xfId="54" applyNumberFormat="1" applyFont="1" applyBorder="1" applyAlignment="1">
      <alignment/>
    </xf>
    <xf numFmtId="166" fontId="48" fillId="29" borderId="1" xfId="74" applyNumberFormat="1" applyAlignment="1">
      <alignment/>
    </xf>
    <xf numFmtId="164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164" fontId="3" fillId="0" borderId="5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0" fontId="10" fillId="32" borderId="0" xfId="0" applyFont="1" applyFill="1" applyAlignment="1">
      <alignment/>
    </xf>
    <xf numFmtId="165" fontId="3" fillId="32" borderId="15" xfId="0" applyNumberFormat="1" applyFont="1" applyFill="1" applyBorder="1" applyAlignment="1">
      <alignment/>
    </xf>
    <xf numFmtId="165" fontId="3" fillId="32" borderId="0" xfId="0" applyNumberFormat="1" applyFont="1" applyFill="1" applyBorder="1" applyAlignment="1">
      <alignment/>
    </xf>
    <xf numFmtId="165" fontId="3" fillId="32" borderId="15" xfId="54" applyNumberFormat="1" applyFont="1" applyFill="1" applyBorder="1" applyAlignment="1">
      <alignment/>
    </xf>
    <xf numFmtId="165" fontId="2" fillId="0" borderId="0" xfId="54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15" fillId="0" borderId="0" xfId="84" applyFont="1">
      <alignment/>
      <protection/>
    </xf>
    <xf numFmtId="0" fontId="14" fillId="0" borderId="0" xfId="84">
      <alignment/>
      <protection/>
    </xf>
    <xf numFmtId="0" fontId="16" fillId="0" borderId="0" xfId="84" applyFont="1" applyAlignment="1">
      <alignment horizontal="center"/>
      <protection/>
    </xf>
    <xf numFmtId="0" fontId="17" fillId="0" borderId="0" xfId="84" applyFont="1" applyBorder="1" applyAlignment="1">
      <alignment horizontal="center"/>
      <protection/>
    </xf>
    <xf numFmtId="0" fontId="17" fillId="0" borderId="17" xfId="84" applyFont="1" applyBorder="1" applyAlignment="1">
      <alignment horizontal="center"/>
      <protection/>
    </xf>
    <xf numFmtId="0" fontId="18" fillId="0" borderId="0" xfId="84" applyFont="1" applyAlignment="1">
      <alignment horizontal="center"/>
      <protection/>
    </xf>
    <xf numFmtId="6" fontId="16" fillId="0" borderId="0" xfId="84" applyNumberFormat="1" applyFont="1" applyAlignment="1">
      <alignment horizontal="center"/>
      <protection/>
    </xf>
    <xf numFmtId="41" fontId="17" fillId="0" borderId="17" xfId="92" applyNumberFormat="1" applyFont="1" applyBorder="1" applyAlignment="1">
      <alignment horizontal="center"/>
    </xf>
    <xf numFmtId="0" fontId="18" fillId="0" borderId="0" xfId="84" applyFont="1" applyFill="1" applyBorder="1" applyAlignment="1">
      <alignment horizontal="center"/>
      <protection/>
    </xf>
    <xf numFmtId="41" fontId="17" fillId="0" borderId="0" xfId="92" applyNumberFormat="1" applyFont="1" applyBorder="1" applyAlignment="1">
      <alignment horizontal="center"/>
    </xf>
    <xf numFmtId="3" fontId="17" fillId="0" borderId="14" xfId="53" applyNumberFormat="1" applyFont="1" applyBorder="1" applyAlignment="1">
      <alignment/>
    </xf>
    <xf numFmtId="3" fontId="14" fillId="0" borderId="0" xfId="53" applyNumberFormat="1" applyFont="1" applyAlignment="1">
      <alignment/>
    </xf>
    <xf numFmtId="3" fontId="16" fillId="0" borderId="0" xfId="53" applyNumberFormat="1" applyFont="1" applyAlignment="1">
      <alignment horizontal="center"/>
    </xf>
    <xf numFmtId="10" fontId="16" fillId="0" borderId="0" xfId="93" applyNumberFormat="1" applyFont="1" applyAlignment="1">
      <alignment horizontal="center"/>
    </xf>
    <xf numFmtId="168" fontId="14" fillId="0" borderId="0" xfId="93" applyNumberFormat="1" applyFont="1" applyAlignment="1">
      <alignment/>
    </xf>
    <xf numFmtId="3" fontId="14" fillId="0" borderId="13" xfId="53" applyNumberFormat="1" applyFont="1" applyBorder="1" applyAlignment="1">
      <alignment/>
    </xf>
    <xf numFmtId="10" fontId="16" fillId="0" borderId="13" xfId="93" applyNumberFormat="1" applyFont="1" applyBorder="1" applyAlignment="1">
      <alignment horizontal="center"/>
    </xf>
    <xf numFmtId="168" fontId="14" fillId="0" borderId="13" xfId="93" applyNumberFormat="1" applyFont="1" applyBorder="1" applyAlignment="1">
      <alignment/>
    </xf>
    <xf numFmtId="10" fontId="16" fillId="0" borderId="0" xfId="53" applyNumberFormat="1" applyFont="1" applyAlignment="1">
      <alignment horizontal="center"/>
    </xf>
    <xf numFmtId="14" fontId="6" fillId="0" borderId="0" xfId="83" applyNumberFormat="1">
      <alignment/>
      <protection/>
    </xf>
    <xf numFmtId="0" fontId="19" fillId="0" borderId="0" xfId="83" applyFont="1" applyAlignment="1">
      <alignment horizontal="center"/>
      <protection/>
    </xf>
    <xf numFmtId="0" fontId="6" fillId="0" borderId="0" xfId="83">
      <alignment/>
      <protection/>
    </xf>
    <xf numFmtId="0" fontId="17" fillId="0" borderId="14" xfId="84" applyFont="1" applyBorder="1" applyAlignment="1">
      <alignment horizontal="center"/>
      <protection/>
    </xf>
    <xf numFmtId="165" fontId="48" fillId="29" borderId="18" xfId="74" applyNumberFormat="1" applyBorder="1" applyAlignment="1">
      <alignment/>
    </xf>
    <xf numFmtId="165" fontId="48" fillId="29" borderId="19" xfId="74" applyNumberFormat="1" applyBorder="1" applyAlignment="1">
      <alignment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165" fontId="2" fillId="0" borderId="0" xfId="50" applyNumberFormat="1" applyFont="1" applyAlignment="1">
      <alignment/>
    </xf>
    <xf numFmtId="164" fontId="22" fillId="0" borderId="0" xfId="0" applyNumberFormat="1" applyFont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2" xfId="53"/>
    <cellStyle name="Currency" xfId="54"/>
    <cellStyle name="Currency [0]" xfId="55"/>
    <cellStyle name="Currency [00]" xfId="56"/>
    <cellStyle name="Currency 2" xfId="57"/>
    <cellStyle name="Currency 3" xfId="58"/>
    <cellStyle name="Date Short" xfId="59"/>
    <cellStyle name="DELTA" xfId="60"/>
    <cellStyle name="Enter Currency (0)" xfId="61"/>
    <cellStyle name="Enter Currency (2)" xfId="62"/>
    <cellStyle name="Enter Units (0)" xfId="63"/>
    <cellStyle name="Enter Units (1)" xfId="64"/>
    <cellStyle name="Enter Units (2)" xfId="65"/>
    <cellStyle name="Explanatory Text" xfId="66"/>
    <cellStyle name="Good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Input" xfId="74"/>
    <cellStyle name="Link Currency (0)" xfId="75"/>
    <cellStyle name="Link Currency (2)" xfId="76"/>
    <cellStyle name="Link Units (0)" xfId="77"/>
    <cellStyle name="Link Units (1)" xfId="78"/>
    <cellStyle name="Link Units (2)" xfId="79"/>
    <cellStyle name="Linked Cell" xfId="80"/>
    <cellStyle name="Neutral" xfId="81"/>
    <cellStyle name="Normal - Style1" xfId="82"/>
    <cellStyle name="Normal 2" xfId="83"/>
    <cellStyle name="Normal 3" xfId="84"/>
    <cellStyle name="Normal 4" xfId="85"/>
    <cellStyle name="Normal 5" xfId="86"/>
    <cellStyle name="Note" xfId="87"/>
    <cellStyle name="Output" xfId="88"/>
    <cellStyle name="Percent" xfId="89"/>
    <cellStyle name="Percent [0]" xfId="90"/>
    <cellStyle name="Percent [00]" xfId="91"/>
    <cellStyle name="Percent 2" xfId="92"/>
    <cellStyle name="Percent 3" xfId="93"/>
    <cellStyle name="PrePop Currency (0)" xfId="94"/>
    <cellStyle name="PrePop Currency (2)" xfId="95"/>
    <cellStyle name="PrePop Units (0)" xfId="96"/>
    <cellStyle name="PrePop Units (1)" xfId="97"/>
    <cellStyle name="PrePop Units (2)" xfId="98"/>
    <cellStyle name="Text Indent A" xfId="99"/>
    <cellStyle name="Text Indent B" xfId="100"/>
    <cellStyle name="Text Indent C" xfId="101"/>
    <cellStyle name="Title" xfId="102"/>
    <cellStyle name="Total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1" sqref="I1"/>
    </sheetView>
  </sheetViews>
  <sheetFormatPr defaultColWidth="9.140625" defaultRowHeight="15"/>
  <cols>
    <col min="1" max="1" width="3.421875" style="1" customWidth="1"/>
    <col min="2" max="2" width="5.00390625" style="1" customWidth="1"/>
    <col min="3" max="3" width="36.57421875" style="1" customWidth="1"/>
    <col min="4" max="4" width="2.00390625" style="1" customWidth="1"/>
    <col min="5" max="5" width="19.28125" style="1" customWidth="1"/>
    <col min="6" max="6" width="2.57421875" style="1" customWidth="1"/>
    <col min="7" max="13" width="15.8515625" style="1" customWidth="1"/>
    <col min="14" max="14" width="18.28125" style="4" customWidth="1"/>
    <col min="15" max="16384" width="9.140625" style="1" customWidth="1"/>
  </cols>
  <sheetData>
    <row r="1" spans="1:14" ht="36">
      <c r="A1" s="53" t="s">
        <v>99</v>
      </c>
      <c r="E1" s="9"/>
      <c r="F1" s="9"/>
      <c r="G1" s="46"/>
      <c r="H1" s="5"/>
      <c r="I1" s="11"/>
      <c r="J1" s="102" t="s">
        <v>101</v>
      </c>
      <c r="K1" s="11"/>
      <c r="L1" s="11"/>
      <c r="M1" s="11"/>
      <c r="N1" s="62"/>
    </row>
    <row r="2" spans="6:13" s="4" customFormat="1" ht="18.75">
      <c r="F2" s="5"/>
      <c r="G2" s="54"/>
      <c r="H2" s="44"/>
      <c r="I2" s="44"/>
      <c r="J2" s="44"/>
      <c r="K2" s="44"/>
      <c r="L2" s="44"/>
      <c r="M2" s="44"/>
    </row>
    <row r="3" spans="2:14" s="4" customFormat="1" ht="15.75">
      <c r="B3" s="4" t="s">
        <v>98</v>
      </c>
      <c r="E3" s="12">
        <f>G61</f>
        <v>134693306</v>
      </c>
      <c r="F3" s="5"/>
      <c r="G3" s="7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62</v>
      </c>
      <c r="M3" s="7" t="s">
        <v>63</v>
      </c>
      <c r="N3" s="45" t="s">
        <v>64</v>
      </c>
    </row>
    <row r="4" spans="6:14" s="4" customFormat="1" ht="15.75">
      <c r="F4" s="5"/>
      <c r="G4" s="44"/>
      <c r="H4" s="44"/>
      <c r="I4" s="44"/>
      <c r="J4" s="44"/>
      <c r="K4" s="44"/>
      <c r="L4" s="44"/>
      <c r="M4" s="44"/>
      <c r="N4" s="55"/>
    </row>
    <row r="5" spans="2:14" s="4" customFormat="1" ht="15.75">
      <c r="B5" s="49" t="s">
        <v>66</v>
      </c>
      <c r="F5" s="5"/>
      <c r="G5" s="44"/>
      <c r="H5" s="44"/>
      <c r="I5" s="44"/>
      <c r="J5" s="44"/>
      <c r="K5" s="44"/>
      <c r="L5" s="44"/>
      <c r="M5" s="44"/>
      <c r="N5" s="55"/>
    </row>
    <row r="6" spans="3:14" s="4" customFormat="1" ht="15.75">
      <c r="C6" s="1" t="s">
        <v>65</v>
      </c>
      <c r="E6" s="12">
        <v>0</v>
      </c>
      <c r="F6" s="5"/>
      <c r="G6" s="10" t="str">
        <f aca="true" t="shared" si="0" ref="G6:L6">REPT("-",15)</f>
        <v>---------------</v>
      </c>
      <c r="H6" s="10" t="str">
        <f t="shared" si="0"/>
        <v>---------------</v>
      </c>
      <c r="I6" s="10" t="str">
        <f t="shared" si="0"/>
        <v>---------------</v>
      </c>
      <c r="J6" s="10" t="str">
        <f t="shared" si="0"/>
        <v>---------------</v>
      </c>
      <c r="K6" s="10" t="str">
        <f t="shared" si="0"/>
        <v>---------------</v>
      </c>
      <c r="L6" s="10" t="str">
        <f t="shared" si="0"/>
        <v>---------------</v>
      </c>
      <c r="M6" s="2">
        <f>-E6</f>
        <v>0</v>
      </c>
      <c r="N6" s="62">
        <f>SUM(G6:M6)</f>
        <v>0</v>
      </c>
    </row>
    <row r="7" spans="3:14" ht="15.75">
      <c r="C7" s="1" t="s">
        <v>15</v>
      </c>
      <c r="E7" s="2">
        <f>-G64</f>
        <v>-1300000</v>
      </c>
      <c r="F7" s="2"/>
      <c r="G7" s="10" t="str">
        <f aca="true" t="shared" si="1" ref="G7:L8">REPT("-",15)</f>
        <v>---------------</v>
      </c>
      <c r="H7" s="10" t="str">
        <f t="shared" si="1"/>
        <v>---------------</v>
      </c>
      <c r="I7" s="10" t="str">
        <f t="shared" si="1"/>
        <v>---------------</v>
      </c>
      <c r="J7" s="10" t="str">
        <f t="shared" si="1"/>
        <v>---------------</v>
      </c>
      <c r="K7" s="10" t="str">
        <f t="shared" si="1"/>
        <v>---------------</v>
      </c>
      <c r="L7" s="10" t="str">
        <f t="shared" si="1"/>
        <v>---------------</v>
      </c>
      <c r="M7" s="2">
        <f>-E7</f>
        <v>1300000</v>
      </c>
      <c r="N7" s="62">
        <f>SUM(G7:M7)</f>
        <v>1300000</v>
      </c>
    </row>
    <row r="8" spans="3:14" ht="15.75">
      <c r="C8" s="1" t="s">
        <v>17</v>
      </c>
      <c r="E8" s="2">
        <f>-G65</f>
        <v>-5650000</v>
      </c>
      <c r="F8" s="2"/>
      <c r="G8" s="10" t="str">
        <f t="shared" si="1"/>
        <v>---------------</v>
      </c>
      <c r="H8" s="10" t="str">
        <f t="shared" si="1"/>
        <v>---------------</v>
      </c>
      <c r="I8" s="10" t="str">
        <f t="shared" si="1"/>
        <v>---------------</v>
      </c>
      <c r="J8" s="10" t="str">
        <f t="shared" si="1"/>
        <v>---------------</v>
      </c>
      <c r="K8" s="10" t="str">
        <f t="shared" si="1"/>
        <v>---------------</v>
      </c>
      <c r="L8" s="10" t="str">
        <f t="shared" si="1"/>
        <v>---------------</v>
      </c>
      <c r="M8" s="2">
        <f>-E8</f>
        <v>5650000</v>
      </c>
      <c r="N8" s="62">
        <f>SUM(G8:M8)</f>
        <v>5650000</v>
      </c>
    </row>
    <row r="9" spans="3:14" ht="16.5" thickBot="1">
      <c r="C9" s="8" t="s">
        <v>67</v>
      </c>
      <c r="E9" s="13">
        <f>SUM(E6:E8)</f>
        <v>-6950000</v>
      </c>
      <c r="F9" s="2"/>
      <c r="G9" s="13">
        <f aca="true" t="shared" si="2" ref="G9:N9">SUM(G6:G8)</f>
        <v>0</v>
      </c>
      <c r="H9" s="13">
        <f t="shared" si="2"/>
        <v>0</v>
      </c>
      <c r="I9" s="13">
        <f t="shared" si="2"/>
        <v>0</v>
      </c>
      <c r="J9" s="13">
        <f t="shared" si="2"/>
        <v>0</v>
      </c>
      <c r="K9" s="13">
        <f t="shared" si="2"/>
        <v>0</v>
      </c>
      <c r="L9" s="13">
        <f t="shared" si="2"/>
        <v>0</v>
      </c>
      <c r="M9" s="13">
        <f t="shared" si="2"/>
        <v>6950000</v>
      </c>
      <c r="N9" s="60">
        <f t="shared" si="2"/>
        <v>6950000</v>
      </c>
    </row>
    <row r="10" spans="5:14" ht="15.75">
      <c r="E10" s="2"/>
      <c r="F10" s="2"/>
      <c r="G10" s="2"/>
      <c r="H10" s="2"/>
      <c r="I10" s="2"/>
      <c r="J10" s="2"/>
      <c r="K10" s="2"/>
      <c r="L10" s="2"/>
      <c r="M10" s="2"/>
      <c r="N10" s="62"/>
    </row>
    <row r="11" ht="15.75">
      <c r="B11" s="56" t="s">
        <v>9</v>
      </c>
    </row>
    <row r="12" spans="3:14" ht="15.75">
      <c r="C12" s="1" t="s">
        <v>7</v>
      </c>
      <c r="E12" s="12">
        <f>-SUM(G12:M12)</f>
        <v>-7750272</v>
      </c>
      <c r="F12" s="2"/>
      <c r="G12" s="12">
        <v>3875136</v>
      </c>
      <c r="H12" s="12">
        <v>3875136</v>
      </c>
      <c r="I12" s="12">
        <v>0</v>
      </c>
      <c r="J12" s="12">
        <v>0</v>
      </c>
      <c r="K12" s="12">
        <v>0</v>
      </c>
      <c r="L12" s="99" t="str">
        <f aca="true" t="shared" si="3" ref="L12:M14">REPT("-",15)</f>
        <v>---------------</v>
      </c>
      <c r="M12" s="99" t="str">
        <f t="shared" si="3"/>
        <v>---------------</v>
      </c>
      <c r="N12" s="100">
        <f>SUM(G12:M12)</f>
        <v>7750272</v>
      </c>
    </row>
    <row r="13" spans="3:14" ht="15.75">
      <c r="C13" s="1" t="s">
        <v>8</v>
      </c>
      <c r="E13" s="2">
        <f>-SUM(G13:M13)</f>
        <v>0</v>
      </c>
      <c r="F13" s="2"/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99" t="str">
        <f t="shared" si="3"/>
        <v>---------------</v>
      </c>
      <c r="M13" s="99" t="str">
        <f t="shared" si="3"/>
        <v>---------------</v>
      </c>
      <c r="N13" s="100">
        <f>SUM(G13:M13)</f>
        <v>0</v>
      </c>
    </row>
    <row r="14" spans="3:14" ht="15.75">
      <c r="C14" s="1" t="s">
        <v>80</v>
      </c>
      <c r="E14" s="2">
        <f>-SUM(G14:M14)</f>
        <v>-3321546</v>
      </c>
      <c r="F14" s="2"/>
      <c r="G14" s="101">
        <v>1107182</v>
      </c>
      <c r="H14" s="101">
        <v>0</v>
      </c>
      <c r="I14" s="101">
        <v>1107182</v>
      </c>
      <c r="J14" s="101">
        <v>1107182</v>
      </c>
      <c r="K14" s="101">
        <v>0</v>
      </c>
      <c r="L14" s="99" t="str">
        <f t="shared" si="3"/>
        <v>---------------</v>
      </c>
      <c r="M14" s="99" t="str">
        <f t="shared" si="3"/>
        <v>---------------</v>
      </c>
      <c r="N14" s="100">
        <f>SUM(G14:M14)</f>
        <v>3321546</v>
      </c>
    </row>
    <row r="15" spans="3:14" ht="16.5" thickBot="1">
      <c r="C15" s="8" t="s">
        <v>68</v>
      </c>
      <c r="E15" s="13">
        <f>SUM(E12:E14)</f>
        <v>-11071818</v>
      </c>
      <c r="F15" s="9"/>
      <c r="G15" s="13">
        <f aca="true" t="shared" si="4" ref="G15:N15">SUM(G12:G14)</f>
        <v>4982318</v>
      </c>
      <c r="H15" s="13">
        <f t="shared" si="4"/>
        <v>3875136</v>
      </c>
      <c r="I15" s="13">
        <f t="shared" si="4"/>
        <v>1107182</v>
      </c>
      <c r="J15" s="13">
        <f t="shared" si="4"/>
        <v>1107182</v>
      </c>
      <c r="K15" s="13">
        <f t="shared" si="4"/>
        <v>0</v>
      </c>
      <c r="L15" s="13">
        <f t="shared" si="4"/>
        <v>0</v>
      </c>
      <c r="M15" s="13">
        <f t="shared" si="4"/>
        <v>0</v>
      </c>
      <c r="N15" s="60">
        <f t="shared" si="4"/>
        <v>11071818</v>
      </c>
    </row>
    <row r="16" spans="5:14" ht="15.75">
      <c r="E16" s="2"/>
      <c r="F16" s="2"/>
      <c r="G16" s="101"/>
      <c r="H16" s="101"/>
      <c r="I16" s="101"/>
      <c r="J16" s="101"/>
      <c r="K16" s="101"/>
      <c r="L16" s="101"/>
      <c r="M16" s="101"/>
      <c r="N16" s="100"/>
    </row>
    <row r="17" spans="2:14" ht="15.75">
      <c r="B17" s="56" t="s">
        <v>1</v>
      </c>
      <c r="E17" s="2"/>
      <c r="F17" s="2"/>
      <c r="G17" s="101"/>
      <c r="H17" s="101"/>
      <c r="I17" s="101"/>
      <c r="J17" s="101"/>
      <c r="K17" s="101"/>
      <c r="L17" s="101"/>
      <c r="M17" s="101"/>
      <c r="N17" s="100"/>
    </row>
    <row r="18" spans="3:14" ht="15.75">
      <c r="C18" s="1" t="s">
        <v>48</v>
      </c>
      <c r="E18" s="12">
        <f>-SUM(G18:M18)</f>
        <v>-113504160</v>
      </c>
      <c r="F18" s="12"/>
      <c r="G18" s="12">
        <f>(G53*$E$56)</f>
        <v>69986015</v>
      </c>
      <c r="H18" s="12">
        <f>(H53*$E$56)</f>
        <v>21729400</v>
      </c>
      <c r="I18" s="12">
        <f>(I53*$E$56)</f>
        <v>13667610</v>
      </c>
      <c r="J18" s="12">
        <f>(J53*$E$56)</f>
        <v>6929670</v>
      </c>
      <c r="K18" s="12">
        <f>(K53*$E$56)</f>
        <v>1191465</v>
      </c>
      <c r="L18" s="71" t="str">
        <f>REPT("-",15)</f>
        <v>---------------</v>
      </c>
      <c r="M18" s="71" t="str">
        <f>REPT("-",15)</f>
        <v>---------------</v>
      </c>
      <c r="N18" s="5">
        <f>SUM(G18:M18)</f>
        <v>113504160</v>
      </c>
    </row>
    <row r="19" spans="3:14" ht="15.75">
      <c r="C19" s="1" t="s">
        <v>49</v>
      </c>
      <c r="E19" s="2">
        <f>-SUM(G19:M19)</f>
        <v>-1037610</v>
      </c>
      <c r="F19" s="2"/>
      <c r="G19" s="101">
        <f>(G54*$E$57)</f>
        <v>872910</v>
      </c>
      <c r="H19" s="101">
        <f>(H54*$E$57)</f>
        <v>145485</v>
      </c>
      <c r="I19" s="101">
        <f>(I54*$E$57)</f>
        <v>2745</v>
      </c>
      <c r="J19" s="101">
        <f>(J54*$E$57)</f>
        <v>16470</v>
      </c>
      <c r="K19" s="101">
        <f>(K54*$E$57)</f>
        <v>0</v>
      </c>
      <c r="L19" s="99" t="str">
        <f>REPT("-",15)</f>
        <v>---------------</v>
      </c>
      <c r="M19" s="99" t="str">
        <f>REPT("-",15)</f>
        <v>---------------</v>
      </c>
      <c r="N19" s="100">
        <f>SUM(G19:M19)</f>
        <v>1037610</v>
      </c>
    </row>
    <row r="20" spans="3:14" ht="16.5" thickBot="1">
      <c r="C20" s="8" t="s">
        <v>69</v>
      </c>
      <c r="E20" s="13">
        <f>SUM(E18:E19)</f>
        <v>-114541770</v>
      </c>
      <c r="F20" s="2"/>
      <c r="G20" s="13">
        <f aca="true" t="shared" si="5" ref="G20:N20">SUM(G18:G19)</f>
        <v>70858925</v>
      </c>
      <c r="H20" s="13">
        <f t="shared" si="5"/>
        <v>21874885</v>
      </c>
      <c r="I20" s="13">
        <f t="shared" si="5"/>
        <v>13670355</v>
      </c>
      <c r="J20" s="13">
        <f t="shared" si="5"/>
        <v>6946140</v>
      </c>
      <c r="K20" s="13">
        <f t="shared" si="5"/>
        <v>1191465</v>
      </c>
      <c r="L20" s="13">
        <f t="shared" si="5"/>
        <v>0</v>
      </c>
      <c r="M20" s="13">
        <f t="shared" si="5"/>
        <v>0</v>
      </c>
      <c r="N20" s="60">
        <f t="shared" si="5"/>
        <v>114541770</v>
      </c>
    </row>
    <row r="21" spans="5:14" ht="15.75">
      <c r="E21" s="2"/>
      <c r="F21" s="2"/>
      <c r="G21" s="101"/>
      <c r="H21" s="101"/>
      <c r="I21" s="101"/>
      <c r="J21" s="101"/>
      <c r="K21" s="101"/>
      <c r="L21" s="101"/>
      <c r="M21" s="101"/>
      <c r="N21" s="100"/>
    </row>
    <row r="22" spans="2:14" ht="16.5" thickBot="1">
      <c r="B22" s="49" t="s">
        <v>71</v>
      </c>
      <c r="E22" s="13">
        <f>E20+E15+E9</f>
        <v>-132563588</v>
      </c>
      <c r="F22" s="2"/>
      <c r="G22" s="13">
        <f>G20+G15+G9</f>
        <v>75841243</v>
      </c>
      <c r="H22" s="13">
        <f aca="true" t="shared" si="6" ref="H22:N22">H20+H15+H9</f>
        <v>25750021</v>
      </c>
      <c r="I22" s="13">
        <f t="shared" si="6"/>
        <v>14777537</v>
      </c>
      <c r="J22" s="13">
        <f t="shared" si="6"/>
        <v>8053322</v>
      </c>
      <c r="K22" s="13">
        <f t="shared" si="6"/>
        <v>1191465</v>
      </c>
      <c r="L22" s="13">
        <f t="shared" si="6"/>
        <v>0</v>
      </c>
      <c r="M22" s="13">
        <f t="shared" si="6"/>
        <v>6950000</v>
      </c>
      <c r="N22" s="60">
        <f t="shared" si="6"/>
        <v>132563588</v>
      </c>
    </row>
    <row r="23" spans="3:14" s="57" customFormat="1" ht="15.75">
      <c r="C23" s="59" t="s">
        <v>81</v>
      </c>
      <c r="E23" s="58"/>
      <c r="F23" s="58"/>
      <c r="G23" s="42">
        <f>G22/(SUM($G$22:$K$22))</f>
        <v>0.6037662342707701</v>
      </c>
      <c r="H23" s="42">
        <f>H22/(SUM($G$22:$L$22))</f>
        <v>0.2049939135565493</v>
      </c>
      <c r="I23" s="42">
        <f>I22/(SUM($G$22:$L$22))</f>
        <v>0.11764282220805602</v>
      </c>
      <c r="J23" s="42">
        <f>J22/(SUM($G$22:$L$22))</f>
        <v>0.06411186980822489</v>
      </c>
      <c r="K23" s="42">
        <f>K22/(SUM($G$22:$L$22))</f>
        <v>0.009485160156399641</v>
      </c>
      <c r="L23" s="99" t="str">
        <f>REPT("-",15)</f>
        <v>---------------</v>
      </c>
      <c r="M23" s="99" t="str">
        <f>REPT("-",15)</f>
        <v>---------------</v>
      </c>
      <c r="N23" s="42">
        <f>SUM(G23:M23)</f>
        <v>1</v>
      </c>
    </row>
    <row r="24" spans="5:14" ht="15.75">
      <c r="E24" s="2"/>
      <c r="F24" s="2"/>
      <c r="G24" s="101"/>
      <c r="H24" s="101"/>
      <c r="I24" s="101"/>
      <c r="J24" s="101"/>
      <c r="K24" s="101"/>
      <c r="L24" s="101"/>
      <c r="M24" s="101"/>
      <c r="N24" s="100"/>
    </row>
    <row r="25" spans="3:14" ht="15.75">
      <c r="C25" s="1" t="s">
        <v>73</v>
      </c>
      <c r="E25" s="2">
        <f>-SUM(G25:M25)</f>
        <v>0</v>
      </c>
      <c r="F25" s="2"/>
      <c r="G25" s="101">
        <f>-($E$3*$H$63)*G23</f>
        <v>-8619404.19395604</v>
      </c>
      <c r="H25" s="101">
        <f>-($E$3*$H$63)*H23</f>
        <v>-2926505.8195559382</v>
      </c>
      <c r="I25" s="101">
        <f>-($E$3*$H$63)*I23</f>
        <v>-1679476.2236971848</v>
      </c>
      <c r="J25" s="101">
        <f>-($E$3*$H$63)*J23</f>
        <v>-915265.0283181467</v>
      </c>
      <c r="K25" s="101">
        <f>-($E$3*$H$63)*K23</f>
        <v>-135410.73447269097</v>
      </c>
      <c r="L25" s="101">
        <f>($E$3*$H$63)</f>
        <v>14276062</v>
      </c>
      <c r="M25" s="99" t="str">
        <f>REPT("-",15)</f>
        <v>---------------</v>
      </c>
      <c r="N25" s="100">
        <f>SUM(G25:M25)</f>
        <v>0</v>
      </c>
    </row>
    <row r="26" spans="5:14" ht="15.75">
      <c r="E26" s="2"/>
      <c r="F26" s="2"/>
      <c r="G26" s="101"/>
      <c r="H26" s="101"/>
      <c r="I26" s="101"/>
      <c r="J26" s="101"/>
      <c r="K26" s="101"/>
      <c r="L26" s="101"/>
      <c r="M26" s="101"/>
      <c r="N26" s="100"/>
    </row>
    <row r="27" spans="2:14" ht="16.5" thickBot="1">
      <c r="B27" s="49" t="s">
        <v>72</v>
      </c>
      <c r="E27" s="13"/>
      <c r="F27" s="2"/>
      <c r="G27" s="13">
        <f aca="true" t="shared" si="7" ref="G27:L27">SUM(G22)+SUM(G25)</f>
        <v>67221838.80604395</v>
      </c>
      <c r="H27" s="13">
        <f t="shared" si="7"/>
        <v>22823515.18044406</v>
      </c>
      <c r="I27" s="13">
        <f t="shared" si="7"/>
        <v>13098060.776302814</v>
      </c>
      <c r="J27" s="13">
        <f t="shared" si="7"/>
        <v>7138056.971681854</v>
      </c>
      <c r="K27" s="13">
        <f t="shared" si="7"/>
        <v>1056054.265527309</v>
      </c>
      <c r="L27" s="13">
        <f t="shared" si="7"/>
        <v>14276062</v>
      </c>
      <c r="M27" s="13">
        <f>SUM(M22)+SUM(M25)</f>
        <v>6950000</v>
      </c>
      <c r="N27" s="60">
        <f>SUM(N22)+SUM(N25)</f>
        <v>132563588</v>
      </c>
    </row>
    <row r="28" spans="3:14" s="57" customFormat="1" ht="15.75">
      <c r="C28" s="59" t="s">
        <v>81</v>
      </c>
      <c r="E28" s="58"/>
      <c r="F28" s="58"/>
      <c r="G28" s="42">
        <f>G27/(SUM($G$27:$K$27))</f>
        <v>0.6037662342707701</v>
      </c>
      <c r="H28" s="42">
        <f>H27/(SUM($G$27:$K$27))</f>
        <v>0.20499391355654933</v>
      </c>
      <c r="I28" s="42">
        <f>I27/(SUM($G$27:$K$27))</f>
        <v>0.11764282220805604</v>
      </c>
      <c r="J28" s="42">
        <f>J27/(SUM($G$27:$K$27))</f>
        <v>0.0641118698082249</v>
      </c>
      <c r="K28" s="42">
        <f>K27/(SUM($G$27:$K$27))</f>
        <v>0.009485160156399641</v>
      </c>
      <c r="L28" s="99" t="str">
        <f aca="true" t="shared" si="8" ref="L28:M30">REPT("-",15)</f>
        <v>---------------</v>
      </c>
      <c r="M28" s="99" t="str">
        <f t="shared" si="8"/>
        <v>---------------</v>
      </c>
      <c r="N28" s="42">
        <f>SUM(G28:M28)</f>
        <v>1</v>
      </c>
    </row>
    <row r="29" spans="5:14" ht="15.75">
      <c r="E29" s="2"/>
      <c r="F29" s="2"/>
      <c r="G29" s="101"/>
      <c r="H29" s="101"/>
      <c r="I29" s="101"/>
      <c r="J29" s="101"/>
      <c r="K29" s="101"/>
      <c r="L29" s="101"/>
      <c r="M29" s="101"/>
      <c r="N29" s="100"/>
    </row>
    <row r="30" spans="3:14" ht="15.75">
      <c r="C30" s="2" t="s">
        <v>74</v>
      </c>
      <c r="E30" s="2">
        <f>N27-E3</f>
        <v>-2129718</v>
      </c>
      <c r="F30" s="2"/>
      <c r="G30" s="101">
        <f>-$E$30*(G28)</f>
        <v>1285851.816918676</v>
      </c>
      <c r="H30" s="101">
        <f>-$E$30*(H28)</f>
        <v>436579.22759182716</v>
      </c>
      <c r="I30" s="101">
        <f>-$E$30*(I28)</f>
        <v>250546.03602729668</v>
      </c>
      <c r="J30" s="101">
        <f>-$E$30*(J28)</f>
        <v>136540.20314423312</v>
      </c>
      <c r="K30" s="101">
        <f>-$E$30*(K28)</f>
        <v>20200.71631796713</v>
      </c>
      <c r="L30" s="99" t="str">
        <f t="shared" si="8"/>
        <v>---------------</v>
      </c>
      <c r="M30" s="99" t="str">
        <f t="shared" si="8"/>
        <v>---------------</v>
      </c>
      <c r="N30" s="100">
        <f>SUM(G30:M30)</f>
        <v>2129718</v>
      </c>
    </row>
    <row r="31" spans="7:13" ht="15.75">
      <c r="G31" s="2"/>
      <c r="H31" s="2"/>
      <c r="I31" s="2"/>
      <c r="J31" s="2"/>
      <c r="K31" s="2"/>
      <c r="L31" s="2"/>
      <c r="M31" s="2"/>
    </row>
    <row r="32" spans="1:14" s="4" customFormat="1" ht="16.5" thickBot="1">
      <c r="A32" s="66"/>
      <c r="B32" s="66"/>
      <c r="C32" s="67" t="s">
        <v>75</v>
      </c>
      <c r="D32" s="66"/>
      <c r="E32" s="68">
        <f>E3+E9+E15+E20+E30</f>
        <v>0</v>
      </c>
      <c r="F32" s="69"/>
      <c r="G32" s="70">
        <f>SUM(G27)+SUM(G30)</f>
        <v>68507690.62296262</v>
      </c>
      <c r="H32" s="70">
        <f aca="true" t="shared" si="9" ref="H32:N32">SUM(H27)+SUM(H30)</f>
        <v>23260094.40803589</v>
      </c>
      <c r="I32" s="70">
        <f t="shared" si="9"/>
        <v>13348606.812330112</v>
      </c>
      <c r="J32" s="70">
        <f t="shared" si="9"/>
        <v>7274597.1748260865</v>
      </c>
      <c r="K32" s="70">
        <f t="shared" si="9"/>
        <v>1076254.981845276</v>
      </c>
      <c r="L32" s="70">
        <f t="shared" si="9"/>
        <v>14276062</v>
      </c>
      <c r="M32" s="70">
        <f t="shared" si="9"/>
        <v>6950000</v>
      </c>
      <c r="N32" s="70">
        <f t="shared" si="9"/>
        <v>134693306</v>
      </c>
    </row>
    <row r="33" spans="3:14" ht="16.5" thickTop="1">
      <c r="C33" s="59" t="s">
        <v>70</v>
      </c>
      <c r="G33" s="42">
        <f>G32/(SUM($N$32))</f>
        <v>0.5086198613534857</v>
      </c>
      <c r="H33" s="42">
        <f aca="true" t="shared" si="10" ref="H33:M33">H32/(SUM($N$32))</f>
        <v>0.17268931247433997</v>
      </c>
      <c r="I33" s="42">
        <f t="shared" si="10"/>
        <v>0.09910371353072372</v>
      </c>
      <c r="J33" s="42">
        <f t="shared" si="10"/>
        <v>0.05400860214111967</v>
      </c>
      <c r="K33" s="42">
        <f t="shared" si="10"/>
        <v>0.007990411801498702</v>
      </c>
      <c r="L33" s="42">
        <f t="shared" si="10"/>
        <v>0.10598939489984752</v>
      </c>
      <c r="M33" s="42">
        <f t="shared" si="10"/>
        <v>0.05159870379898464</v>
      </c>
      <c r="N33" s="41">
        <f>SUM(G33:M33)</f>
        <v>1</v>
      </c>
    </row>
    <row r="34" spans="3:14" ht="15.75">
      <c r="C34" s="59"/>
      <c r="G34" s="42"/>
      <c r="H34" s="42"/>
      <c r="I34" s="42"/>
      <c r="J34" s="42"/>
      <c r="K34" s="42"/>
      <c r="L34" s="42"/>
      <c r="M34" s="42"/>
      <c r="N34" s="41"/>
    </row>
    <row r="35" spans="3:14" ht="15.75">
      <c r="C35" s="59"/>
      <c r="G35" s="42"/>
      <c r="H35" s="42"/>
      <c r="I35" s="42"/>
      <c r="J35" s="42"/>
      <c r="K35" s="42"/>
      <c r="L35" s="42"/>
      <c r="M35" s="42"/>
      <c r="N35" s="41"/>
    </row>
    <row r="36" spans="3:14" ht="15.75">
      <c r="C36" s="59"/>
      <c r="E36" s="12"/>
      <c r="F36" s="12"/>
      <c r="G36" s="7" t="s">
        <v>2</v>
      </c>
      <c r="H36" s="7" t="s">
        <v>3</v>
      </c>
      <c r="I36" s="7" t="s">
        <v>4</v>
      </c>
      <c r="J36" s="7" t="s">
        <v>5</v>
      </c>
      <c r="K36" s="7" t="s">
        <v>6</v>
      </c>
      <c r="L36" s="7" t="s">
        <v>62</v>
      </c>
      <c r="M36" s="7" t="s">
        <v>63</v>
      </c>
      <c r="N36" s="45" t="s">
        <v>64</v>
      </c>
    </row>
    <row r="37" spans="5:14" ht="15.75">
      <c r="E37" s="72" t="s">
        <v>83</v>
      </c>
      <c r="F37" s="12"/>
      <c r="G37" s="12">
        <f aca="true" t="shared" si="11" ref="G37:M37">G32</f>
        <v>68507690.62296262</v>
      </c>
      <c r="H37" s="12">
        <f t="shared" si="11"/>
        <v>23260094.40803589</v>
      </c>
      <c r="I37" s="12">
        <f t="shared" si="11"/>
        <v>13348606.812330112</v>
      </c>
      <c r="J37" s="12">
        <f t="shared" si="11"/>
        <v>7274597.1748260865</v>
      </c>
      <c r="K37" s="12">
        <f t="shared" si="11"/>
        <v>1076254.981845276</v>
      </c>
      <c r="L37" s="12">
        <f t="shared" si="11"/>
        <v>14276062</v>
      </c>
      <c r="M37" s="12">
        <f t="shared" si="11"/>
        <v>6950000</v>
      </c>
      <c r="N37" s="12">
        <f>SUM(G37:M37)</f>
        <v>134693306</v>
      </c>
    </row>
    <row r="38" spans="5:14" ht="15.75">
      <c r="E38" s="59"/>
      <c r="F38" s="12"/>
      <c r="G38" s="12"/>
      <c r="H38" s="12"/>
      <c r="I38" s="12"/>
      <c r="J38" s="12"/>
      <c r="K38" s="12"/>
      <c r="L38" s="12"/>
      <c r="M38" s="12"/>
      <c r="N38" s="12"/>
    </row>
    <row r="39" spans="5:14" ht="15.75">
      <c r="E39" s="72" t="s">
        <v>100</v>
      </c>
      <c r="F39" s="12"/>
      <c r="G39" s="12">
        <v>70878003</v>
      </c>
      <c r="H39" s="12">
        <v>25862473</v>
      </c>
      <c r="I39" s="12">
        <v>10518851</v>
      </c>
      <c r="J39" s="12">
        <v>5530013</v>
      </c>
      <c r="K39" s="12">
        <v>677904</v>
      </c>
      <c r="L39" s="12">
        <f>21226062-6950000</f>
        <v>14276062</v>
      </c>
      <c r="M39" s="12">
        <f>6950000</f>
        <v>6950000</v>
      </c>
      <c r="N39" s="12">
        <f>SUM(G39:M39)</f>
        <v>134693306</v>
      </c>
    </row>
    <row r="40" spans="5:14" ht="15.75">
      <c r="E40" s="59"/>
      <c r="F40" s="12"/>
      <c r="G40" s="12"/>
      <c r="H40" s="12"/>
      <c r="I40" s="12"/>
      <c r="J40" s="12"/>
      <c r="K40" s="12"/>
      <c r="L40" s="12"/>
      <c r="M40" s="12"/>
      <c r="N40" s="12"/>
    </row>
    <row r="41" spans="5:14" ht="15.75">
      <c r="E41" s="72" t="s">
        <v>84</v>
      </c>
      <c r="F41" s="12"/>
      <c r="G41" s="12">
        <f>G37-G39</f>
        <v>-2370312.377037376</v>
      </c>
      <c r="H41" s="12">
        <f aca="true" t="shared" si="12" ref="H41:N41">H37-H39</f>
        <v>-2602378.5919641107</v>
      </c>
      <c r="I41" s="12">
        <f t="shared" si="12"/>
        <v>2829755.812330112</v>
      </c>
      <c r="J41" s="12">
        <f t="shared" si="12"/>
        <v>1744584.1748260865</v>
      </c>
      <c r="K41" s="12">
        <f t="shared" si="12"/>
        <v>398350.98184527596</v>
      </c>
      <c r="L41" s="12">
        <f t="shared" si="12"/>
        <v>0</v>
      </c>
      <c r="M41" s="12">
        <f t="shared" si="12"/>
        <v>0</v>
      </c>
      <c r="N41" s="12">
        <f t="shared" si="12"/>
        <v>0</v>
      </c>
    </row>
    <row r="42" spans="3:14" ht="15.75">
      <c r="C42" s="59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7:13" ht="15.75">
      <c r="G43" s="2"/>
      <c r="H43" s="2"/>
      <c r="I43" s="2"/>
      <c r="J43" s="2"/>
      <c r="K43" s="2"/>
      <c r="L43" s="2"/>
      <c r="M43" s="2"/>
    </row>
    <row r="44" spans="7:13" ht="15.75">
      <c r="G44" s="2"/>
      <c r="H44" s="2"/>
      <c r="I44" s="2"/>
      <c r="J44" s="2"/>
      <c r="K44" s="2"/>
      <c r="L44" s="2"/>
      <c r="M44" s="2"/>
    </row>
    <row r="45" spans="1:14" ht="26.25">
      <c r="A45" s="6"/>
      <c r="B45" s="52"/>
      <c r="C45" s="6"/>
      <c r="D45" s="6"/>
      <c r="E45" s="6"/>
      <c r="F45" s="6"/>
      <c r="G45" s="47"/>
      <c r="H45" s="47"/>
      <c r="I45" s="47"/>
      <c r="J45" s="47"/>
      <c r="K45" s="47"/>
      <c r="L45" s="47"/>
      <c r="M45" s="47"/>
      <c r="N45" s="63"/>
    </row>
    <row r="46" spans="2:13" ht="28.5">
      <c r="B46" s="53" t="s">
        <v>60</v>
      </c>
      <c r="G46" s="2"/>
      <c r="H46" s="2"/>
      <c r="I46" s="2"/>
      <c r="J46" s="2"/>
      <c r="K46" s="2"/>
      <c r="L46" s="2"/>
      <c r="M46" s="2"/>
    </row>
    <row r="47" spans="5:14" ht="15.75">
      <c r="E47" s="50" t="s">
        <v>59</v>
      </c>
      <c r="F47" s="10"/>
      <c r="G47" s="7" t="s">
        <v>2</v>
      </c>
      <c r="H47" s="7" t="s">
        <v>3</v>
      </c>
      <c r="I47" s="7" t="s">
        <v>4</v>
      </c>
      <c r="J47" s="7" t="s">
        <v>5</v>
      </c>
      <c r="K47" s="7" t="s">
        <v>6</v>
      </c>
      <c r="L47" s="7" t="s">
        <v>62</v>
      </c>
      <c r="M47" s="7" t="s">
        <v>63</v>
      </c>
      <c r="N47" s="45" t="s">
        <v>14</v>
      </c>
    </row>
    <row r="48" spans="4:14" ht="15.75">
      <c r="D48" s="16" t="s">
        <v>12</v>
      </c>
      <c r="F48" s="10"/>
      <c r="G48" s="2">
        <v>17650</v>
      </c>
      <c r="H48" s="2">
        <v>5480</v>
      </c>
      <c r="I48" s="2">
        <v>3447</v>
      </c>
      <c r="J48" s="2">
        <v>1748</v>
      </c>
      <c r="K48" s="2">
        <v>300</v>
      </c>
      <c r="L48" s="98" t="str">
        <f>REPT("-",15)</f>
        <v>---------------</v>
      </c>
      <c r="M48" s="98" t="str">
        <f>REPT("-",15)</f>
        <v>---------------</v>
      </c>
      <c r="N48" s="62">
        <f>SUM(G48:K48)</f>
        <v>28625</v>
      </c>
    </row>
    <row r="49" spans="2:14" ht="15.75">
      <c r="B49" s="11"/>
      <c r="D49" s="16" t="s">
        <v>13</v>
      </c>
      <c r="F49" s="10"/>
      <c r="G49" s="2">
        <v>411</v>
      </c>
      <c r="H49" s="2">
        <v>68</v>
      </c>
      <c r="I49" s="2">
        <v>2</v>
      </c>
      <c r="J49" s="2">
        <v>8</v>
      </c>
      <c r="K49" s="2">
        <v>0</v>
      </c>
      <c r="L49" s="98" t="str">
        <f>REPT("-",15)</f>
        <v>---------------</v>
      </c>
      <c r="M49" s="98" t="str">
        <f>REPT("-",15)</f>
        <v>---------------</v>
      </c>
      <c r="N49" s="62">
        <f>SUM(G49:K49)</f>
        <v>489</v>
      </c>
    </row>
    <row r="50" spans="5:14" ht="15.75">
      <c r="E50" s="1" t="s">
        <v>14</v>
      </c>
      <c r="F50" s="10"/>
      <c r="G50" s="14">
        <f>G48+G49</f>
        <v>18061</v>
      </c>
      <c r="H50" s="14">
        <f>H48+H49</f>
        <v>5548</v>
      </c>
      <c r="I50" s="14">
        <f>I48+I49</f>
        <v>3449</v>
      </c>
      <c r="J50" s="14">
        <f>J48+J49</f>
        <v>1756</v>
      </c>
      <c r="K50" s="14">
        <f>K48+K49</f>
        <v>300</v>
      </c>
      <c r="L50" s="14"/>
      <c r="M50" s="14"/>
      <c r="N50" s="64">
        <f>SUM(G50:K50)</f>
        <v>29114</v>
      </c>
    </row>
    <row r="51" spans="6:14" ht="15.75">
      <c r="F51" s="10"/>
      <c r="G51" s="11"/>
      <c r="H51" s="11"/>
      <c r="I51" s="11"/>
      <c r="J51" s="11"/>
      <c r="K51" s="11"/>
      <c r="L51" s="11"/>
      <c r="M51" s="11"/>
      <c r="N51" s="62"/>
    </row>
    <row r="52" spans="3:14" ht="15.75">
      <c r="C52" s="50" t="s">
        <v>79</v>
      </c>
      <c r="G52" s="11"/>
      <c r="H52" s="11"/>
      <c r="I52" s="11"/>
      <c r="J52" s="11"/>
      <c r="K52" s="11"/>
      <c r="L52" s="11"/>
      <c r="M52" s="11"/>
      <c r="N52" s="62"/>
    </row>
    <row r="53" spans="3:14" ht="15.75">
      <c r="C53" s="16" t="s">
        <v>12</v>
      </c>
      <c r="E53" s="15">
        <v>24864</v>
      </c>
      <c r="G53" s="2">
        <f>ROUND($E$53*(G48/$N$48),0)</f>
        <v>15331</v>
      </c>
      <c r="H53" s="2">
        <f>ROUND($E$53*(H48/$N$48),0)</f>
        <v>4760</v>
      </c>
      <c r="I53" s="2">
        <f>ROUND($E$53*(I48/$N$48),0)</f>
        <v>2994</v>
      </c>
      <c r="J53" s="2">
        <f>ROUND($E$53*(J48/$N$48),0)</f>
        <v>1518</v>
      </c>
      <c r="K53" s="2">
        <f>ROUND($E$53*(K48/$N$48),0)</f>
        <v>261</v>
      </c>
      <c r="L53" s="98" t="str">
        <f>REPT("-",15)</f>
        <v>---------------</v>
      </c>
      <c r="M53" s="98" t="str">
        <f>REPT("-",15)</f>
        <v>---------------</v>
      </c>
      <c r="N53" s="62">
        <f>SUM(G53:K53)</f>
        <v>24864</v>
      </c>
    </row>
    <row r="54" spans="3:14" ht="15.75">
      <c r="C54" s="16" t="s">
        <v>13</v>
      </c>
      <c r="E54" s="15">
        <v>378</v>
      </c>
      <c r="G54" s="2">
        <f>ROUND($E$54*(G49/$N$49),0)</f>
        <v>318</v>
      </c>
      <c r="H54" s="2">
        <f>ROUND($E$54*(H49/$N$49),0)</f>
        <v>53</v>
      </c>
      <c r="I54" s="2">
        <f>ROUND($E$54*(I49/$N$49)-0.25,0)</f>
        <v>1</v>
      </c>
      <c r="J54" s="2">
        <f>ROUND($E$54*(J49/$N$49),0)</f>
        <v>6</v>
      </c>
      <c r="K54" s="2">
        <f>ROUND($E$54*(K49/$N$49),0)</f>
        <v>0</v>
      </c>
      <c r="L54" s="98" t="str">
        <f>REPT("-",15)</f>
        <v>---------------</v>
      </c>
      <c r="M54" s="98" t="str">
        <f>REPT("-",15)</f>
        <v>---------------</v>
      </c>
      <c r="N54" s="62">
        <f>SUM(G54:K54)</f>
        <v>378</v>
      </c>
    </row>
    <row r="55" ht="15.75">
      <c r="F55" s="10"/>
    </row>
    <row r="56" spans="3:6" ht="15.75">
      <c r="C56" s="1" t="s">
        <v>76</v>
      </c>
      <c r="E56" s="51">
        <v>4565</v>
      </c>
      <c r="F56" s="10"/>
    </row>
    <row r="57" spans="3:6" ht="15.75">
      <c r="C57" s="1" t="s">
        <v>77</v>
      </c>
      <c r="E57" s="51">
        <v>2745</v>
      </c>
      <c r="F57" s="10"/>
    </row>
    <row r="58" ht="15.75">
      <c r="F58" s="10"/>
    </row>
    <row r="59" spans="5:7" ht="15.75">
      <c r="E59" s="8" t="s">
        <v>82</v>
      </c>
      <c r="F59" s="10"/>
      <c r="G59" s="51">
        <f>130942559</f>
        <v>130942559</v>
      </c>
    </row>
    <row r="60" spans="5:8" ht="15.75">
      <c r="E60" s="8" t="s">
        <v>97</v>
      </c>
      <c r="F60" s="10"/>
      <c r="G60" s="51">
        <v>3750747</v>
      </c>
      <c r="H60" s="1" t="s">
        <v>96</v>
      </c>
    </row>
    <row r="61" spans="5:7" ht="15.75">
      <c r="E61" s="8" t="s">
        <v>95</v>
      </c>
      <c r="F61" s="10"/>
      <c r="G61" s="51">
        <f>SUM(G59:G60)</f>
        <v>134693306</v>
      </c>
    </row>
    <row r="62" ht="15.75">
      <c r="F62" s="10"/>
    </row>
    <row r="63" spans="5:9" ht="15.75">
      <c r="E63" s="8" t="s">
        <v>61</v>
      </c>
      <c r="G63" s="40">
        <f>G66-G64-G65</f>
        <v>14276062</v>
      </c>
      <c r="H63" s="61">
        <f>G63/G61</f>
        <v>0.10598939489984752</v>
      </c>
      <c r="I63" s="1" t="s">
        <v>94</v>
      </c>
    </row>
    <row r="64" spans="5:7" ht="15.75">
      <c r="E64" s="8" t="s">
        <v>0</v>
      </c>
      <c r="G64" s="51">
        <v>1300000</v>
      </c>
    </row>
    <row r="65" spans="5:8" ht="15.75">
      <c r="E65" s="8" t="s">
        <v>51</v>
      </c>
      <c r="G65" s="96">
        <v>5650000</v>
      </c>
      <c r="H65" s="65"/>
    </row>
    <row r="66" spans="5:8" ht="16.5" thickBot="1">
      <c r="E66" s="8" t="s">
        <v>78</v>
      </c>
      <c r="G66" s="97">
        <v>21226062</v>
      </c>
      <c r="H66" s="65"/>
    </row>
    <row r="67" ht="16.5" thickTop="1"/>
  </sheetData>
  <sheetProtection/>
  <printOptions/>
  <pageMargins left="0.25" right="0.25" top="0.75" bottom="0.75" header="0.3" footer="0.3"/>
  <pageSetup fitToHeight="0" fitToWidth="1" horizontalDpi="600" verticalDpi="600" orientation="landscape" scale="67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90" zoomScaleNormal="90" zoomScalePageLayoutView="0" workbookViewId="0" topLeftCell="A1">
      <selection activeCell="G36" sqref="G36"/>
    </sheetView>
  </sheetViews>
  <sheetFormatPr defaultColWidth="9.140625" defaultRowHeight="15"/>
  <cols>
    <col min="1" max="1" width="3.00390625" style="1" customWidth="1"/>
    <col min="2" max="2" width="5.00390625" style="1" customWidth="1"/>
    <col min="3" max="3" width="33.00390625" style="1" customWidth="1"/>
    <col min="4" max="4" width="15.140625" style="1" customWidth="1"/>
    <col min="5" max="5" width="7.57421875" style="1" customWidth="1"/>
    <col min="6" max="6" width="38.7109375" style="1" customWidth="1"/>
    <col min="7" max="7" width="21.28125" style="1" bestFit="1" customWidth="1"/>
    <col min="8" max="8" width="15.8515625" style="1" bestFit="1" customWidth="1"/>
    <col min="9" max="16384" width="9.140625" style="1" customWidth="1"/>
  </cols>
  <sheetData>
    <row r="1" ht="15.75">
      <c r="A1" s="1" t="s">
        <v>11</v>
      </c>
    </row>
    <row r="2" ht="15.75">
      <c r="A2" s="1" t="s">
        <v>53</v>
      </c>
    </row>
    <row r="3" ht="15.75">
      <c r="A3" s="1" t="s">
        <v>54</v>
      </c>
    </row>
    <row r="4" ht="15.75">
      <c r="G4" s="17" t="s">
        <v>50</v>
      </c>
    </row>
    <row r="5" spans="6:7" ht="15.75">
      <c r="F5" s="31"/>
      <c r="G5" s="17" t="s">
        <v>18</v>
      </c>
    </row>
    <row r="6" spans="4:7" ht="15.75">
      <c r="D6" s="47" t="s">
        <v>52</v>
      </c>
      <c r="F6" s="31"/>
      <c r="G6" s="18" t="s">
        <v>16</v>
      </c>
    </row>
    <row r="7" spans="2:7" ht="15.75">
      <c r="B7" s="1" t="s">
        <v>0</v>
      </c>
      <c r="D7" s="2"/>
      <c r="F7" s="35" t="s">
        <v>19</v>
      </c>
      <c r="G7" s="19">
        <v>20403637</v>
      </c>
    </row>
    <row r="8" spans="3:7" ht="15.75">
      <c r="C8" s="1" t="s">
        <v>44</v>
      </c>
      <c r="D8" s="2">
        <v>100000</v>
      </c>
      <c r="F8" s="31"/>
      <c r="G8" s="20"/>
    </row>
    <row r="9" spans="3:7" ht="15.75">
      <c r="C9" s="1" t="s">
        <v>43</v>
      </c>
      <c r="D9" s="2">
        <v>80000</v>
      </c>
      <c r="F9" s="36" t="s">
        <v>20</v>
      </c>
      <c r="G9" s="20"/>
    </row>
    <row r="10" spans="3:7" ht="15.75">
      <c r="C10" s="1" t="s">
        <v>45</v>
      </c>
      <c r="D10" s="2">
        <v>20000</v>
      </c>
      <c r="F10" s="32" t="s">
        <v>21</v>
      </c>
      <c r="G10" s="19">
        <v>0</v>
      </c>
    </row>
    <row r="11" spans="3:7" ht="15.75">
      <c r="C11" s="1" t="s">
        <v>39</v>
      </c>
      <c r="D11" s="2">
        <v>1100000</v>
      </c>
      <c r="F11" s="32" t="s">
        <v>22</v>
      </c>
      <c r="G11" s="20">
        <v>57346</v>
      </c>
    </row>
    <row r="12" spans="3:7" ht="15.75">
      <c r="C12" s="1" t="s">
        <v>42</v>
      </c>
      <c r="D12" s="2">
        <v>0</v>
      </c>
      <c r="F12" s="32" t="s">
        <v>23</v>
      </c>
      <c r="G12" s="20">
        <v>32695</v>
      </c>
    </row>
    <row r="13" spans="3:7" ht="15.75">
      <c r="C13" s="1" t="s">
        <v>47</v>
      </c>
      <c r="D13" s="2"/>
      <c r="F13" s="37" t="s">
        <v>24</v>
      </c>
      <c r="G13" s="21">
        <v>16759</v>
      </c>
    </row>
    <row r="14" spans="4:7" ht="16.5" thickBot="1">
      <c r="D14" s="3">
        <f>SUM(D8:D13)</f>
        <v>1300000</v>
      </c>
      <c r="F14" s="37" t="s">
        <v>25</v>
      </c>
      <c r="G14" s="22">
        <v>0</v>
      </c>
    </row>
    <row r="15" spans="4:7" ht="15.75">
      <c r="D15" s="2"/>
      <c r="F15" s="37" t="s">
        <v>26</v>
      </c>
      <c r="G15" s="21">
        <v>250000</v>
      </c>
    </row>
    <row r="16" spans="2:7" ht="15.75">
      <c r="B16" s="1" t="s">
        <v>51</v>
      </c>
      <c r="D16" s="2"/>
      <c r="F16" s="37" t="s">
        <v>27</v>
      </c>
      <c r="G16" s="23">
        <v>80902</v>
      </c>
    </row>
    <row r="17" spans="3:7" ht="15.75">
      <c r="C17" s="1" t="s">
        <v>40</v>
      </c>
      <c r="D17" s="2">
        <v>4200000</v>
      </c>
      <c r="F17" s="33" t="s">
        <v>28</v>
      </c>
      <c r="G17" s="24">
        <f>SUM(G7:G16)</f>
        <v>20841339</v>
      </c>
    </row>
    <row r="18" spans="3:7" ht="15.75">
      <c r="C18" s="1" t="s">
        <v>41</v>
      </c>
      <c r="D18" s="2">
        <v>1100000</v>
      </c>
      <c r="F18" s="33"/>
      <c r="G18" s="25"/>
    </row>
    <row r="19" spans="3:7" ht="15.75">
      <c r="C19" s="1" t="s">
        <v>46</v>
      </c>
      <c r="D19" s="2">
        <v>350000</v>
      </c>
      <c r="F19" s="32" t="s">
        <v>29</v>
      </c>
      <c r="G19" s="26">
        <v>-715277</v>
      </c>
    </row>
    <row r="20" spans="4:7" ht="15.75">
      <c r="D20" s="2"/>
      <c r="F20" s="35" t="s">
        <v>30</v>
      </c>
      <c r="G20" s="24">
        <f>SUM(G17:G19)</f>
        <v>20126062</v>
      </c>
    </row>
    <row r="21" spans="4:7" ht="16.5" thickBot="1">
      <c r="D21" s="3">
        <f>SUM(D17:D20)</f>
        <v>5650000</v>
      </c>
      <c r="F21" s="38"/>
      <c r="G21" s="27"/>
    </row>
    <row r="22" spans="4:7" ht="15.75">
      <c r="D22" s="2"/>
      <c r="F22" s="36" t="s">
        <v>31</v>
      </c>
      <c r="G22" s="20"/>
    </row>
    <row r="23" spans="3:7" ht="16.5" thickBot="1">
      <c r="C23" s="1" t="s">
        <v>55</v>
      </c>
      <c r="D23" s="43">
        <f>D21+D14</f>
        <v>6950000</v>
      </c>
      <c r="F23" s="31" t="s">
        <v>32</v>
      </c>
      <c r="G23" s="19">
        <v>1100000</v>
      </c>
    </row>
    <row r="24" spans="6:7" ht="16.5" thickTop="1">
      <c r="F24" s="35" t="s">
        <v>33</v>
      </c>
      <c r="G24" s="28">
        <v>0</v>
      </c>
    </row>
    <row r="25" spans="4:7" ht="15.75">
      <c r="D25" s="2"/>
      <c r="F25" s="35" t="s">
        <v>34</v>
      </c>
      <c r="G25" s="28">
        <v>0</v>
      </c>
    </row>
    <row r="26" spans="4:7" ht="15.75">
      <c r="D26" s="2"/>
      <c r="F26" s="35" t="s">
        <v>35</v>
      </c>
      <c r="G26" s="29">
        <v>0</v>
      </c>
    </row>
    <row r="27" spans="4:7" ht="15.75">
      <c r="D27" s="2"/>
      <c r="F27" s="34" t="s">
        <v>36</v>
      </c>
      <c r="G27" s="24">
        <f>SUM(G23:G26)</f>
        <v>1100000</v>
      </c>
    </row>
    <row r="28" spans="4:7" ht="15.75">
      <c r="D28" s="2"/>
      <c r="F28" s="39" t="s">
        <v>37</v>
      </c>
      <c r="G28" s="20"/>
    </row>
    <row r="29" spans="4:7" ht="16.5" thickBot="1">
      <c r="D29" s="2"/>
      <c r="F29" s="38" t="s">
        <v>38</v>
      </c>
      <c r="G29" s="30">
        <f>SUM(G20+G27)</f>
        <v>21226062</v>
      </c>
    </row>
    <row r="30" spans="4:6" ht="16.5" thickTop="1">
      <c r="D30" s="2"/>
      <c r="F30" s="8"/>
    </row>
    <row r="31" spans="4:7" ht="15.75">
      <c r="D31" s="2"/>
      <c r="F31" s="8" t="s">
        <v>56</v>
      </c>
      <c r="G31" s="11">
        <f>-D23</f>
        <v>-6950000</v>
      </c>
    </row>
    <row r="32" spans="4:6" ht="15.75">
      <c r="D32" s="2"/>
      <c r="F32" s="8"/>
    </row>
    <row r="33" spans="4:8" ht="15.75">
      <c r="D33" s="2"/>
      <c r="F33" s="8" t="s">
        <v>57</v>
      </c>
      <c r="G33" s="40">
        <f>SUM(G29:G32)</f>
        <v>14276062</v>
      </c>
      <c r="H33" s="42">
        <f>G33/G35</f>
        <v>0.10598939489984752</v>
      </c>
    </row>
    <row r="34" spans="4:6" ht="16.5" thickBot="1">
      <c r="D34" s="2"/>
      <c r="F34" s="8"/>
    </row>
    <row r="35" spans="4:7" ht="16.5" thickBot="1">
      <c r="D35" s="2"/>
      <c r="F35" s="8" t="s">
        <v>58</v>
      </c>
      <c r="G35" s="48">
        <v>134693306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"/>
  <sheetViews>
    <sheetView zoomScalePageLayoutView="0" workbookViewId="0" topLeftCell="A1">
      <selection activeCell="H7" sqref="H7:H9"/>
    </sheetView>
  </sheetViews>
  <sheetFormatPr defaultColWidth="9.140625" defaultRowHeight="15"/>
  <cols>
    <col min="1" max="1" width="17.57421875" style="94" customWidth="1"/>
    <col min="2" max="2" width="12.8515625" style="94" customWidth="1"/>
    <col min="3" max="3" width="10.00390625" style="93" customWidth="1"/>
    <col min="4" max="4" width="12.8515625" style="94" customWidth="1"/>
    <col min="5" max="5" width="10.00390625" style="93" customWidth="1"/>
    <col min="6" max="6" width="12.8515625" style="94" customWidth="1"/>
    <col min="7" max="7" width="10.00390625" style="93" customWidth="1"/>
    <col min="8" max="8" width="12.8515625" style="94" customWidth="1"/>
    <col min="9" max="9" width="10.00390625" style="93" customWidth="1"/>
    <col min="10" max="10" width="2.421875" style="94" customWidth="1"/>
    <col min="11" max="11" width="12.28125" style="94" customWidth="1"/>
    <col min="12" max="16384" width="9.140625" style="94" customWidth="1"/>
  </cols>
  <sheetData>
    <row r="2" spans="1:9" s="74" customFormat="1" ht="18">
      <c r="A2" s="73" t="s">
        <v>85</v>
      </c>
      <c r="C2" s="75"/>
      <c r="E2" s="75"/>
      <c r="G2" s="75"/>
      <c r="I2" s="75"/>
    </row>
    <row r="3" spans="3:9" s="74" customFormat="1" ht="12.75">
      <c r="C3" s="75"/>
      <c r="E3" s="75"/>
      <c r="G3" s="75"/>
      <c r="I3" s="75"/>
    </row>
    <row r="4" spans="1:9" s="74" customFormat="1" ht="13.5" thickBot="1">
      <c r="A4" s="76"/>
      <c r="B4" s="77" t="s">
        <v>86</v>
      </c>
      <c r="C4" s="78"/>
      <c r="D4" s="77" t="s">
        <v>87</v>
      </c>
      <c r="E4" s="78"/>
      <c r="F4" s="77" t="s">
        <v>10</v>
      </c>
      <c r="G4" s="79"/>
      <c r="H4" s="80" t="s">
        <v>50</v>
      </c>
      <c r="I4" s="81"/>
    </row>
    <row r="5" spans="1:11" s="74" customFormat="1" ht="12.75">
      <c r="A5" s="76"/>
      <c r="B5" s="76"/>
      <c r="C5" s="78"/>
      <c r="D5" s="76"/>
      <c r="E5" s="78"/>
      <c r="F5" s="76"/>
      <c r="G5" s="79"/>
      <c r="H5" s="82"/>
      <c r="I5" s="81"/>
      <c r="K5" s="95" t="s">
        <v>89</v>
      </c>
    </row>
    <row r="6" spans="1:9" s="74" customFormat="1" ht="12.75">
      <c r="A6" s="83" t="s">
        <v>88</v>
      </c>
      <c r="B6" s="84"/>
      <c r="C6" s="85"/>
      <c r="D6" s="84"/>
      <c r="E6" s="85"/>
      <c r="F6" s="84"/>
      <c r="G6" s="85"/>
      <c r="H6" s="84"/>
      <c r="I6" s="85"/>
    </row>
    <row r="7" spans="1:11" s="74" customFormat="1" ht="12.75">
      <c r="A7" s="84" t="s">
        <v>90</v>
      </c>
      <c r="B7" s="84">
        <v>6265143</v>
      </c>
      <c r="C7" s="86">
        <f>B7/B$10</f>
        <v>0.39575208835789627</v>
      </c>
      <c r="D7" s="84">
        <v>5655849</v>
      </c>
      <c r="E7" s="86">
        <f>D7/D$10</f>
        <v>0.3414213807084647</v>
      </c>
      <c r="F7" s="84">
        <v>5676073</v>
      </c>
      <c r="G7" s="86">
        <f>F7/F$10</f>
        <v>0.3361251416418223</v>
      </c>
      <c r="H7" s="84">
        <v>5530013</v>
      </c>
      <c r="I7" s="86">
        <f>H7/H$10</f>
        <v>0.3306085790153842</v>
      </c>
      <c r="K7" s="87">
        <f>AVERAGE(I7,G7,E7)</f>
        <v>0.3360517004552237</v>
      </c>
    </row>
    <row r="8" spans="1:11" s="74" customFormat="1" ht="12.75">
      <c r="A8" s="84" t="s">
        <v>91</v>
      </c>
      <c r="B8" s="84">
        <v>8890481</v>
      </c>
      <c r="C8" s="86">
        <f>B8/B$10</f>
        <v>0.5615875682735729</v>
      </c>
      <c r="D8" s="84">
        <v>10238999</v>
      </c>
      <c r="E8" s="86">
        <f>D8/D$10</f>
        <v>0.6180881377230172</v>
      </c>
      <c r="F8" s="84">
        <v>10544668</v>
      </c>
      <c r="G8" s="86">
        <f>F8/F$10</f>
        <v>0.6244331292190906</v>
      </c>
      <c r="H8" s="84">
        <v>10518851</v>
      </c>
      <c r="I8" s="86">
        <f>H8/H$10</f>
        <v>0.6288633285282608</v>
      </c>
      <c r="K8" s="87">
        <f>AVERAGE(I8,G8,E8)</f>
        <v>0.6237948651567895</v>
      </c>
    </row>
    <row r="9" spans="1:11" s="74" customFormat="1" ht="12.75">
      <c r="A9" s="84" t="s">
        <v>92</v>
      </c>
      <c r="B9" s="84">
        <v>675355</v>
      </c>
      <c r="C9" s="86">
        <f>B9/B$10</f>
        <v>0.04266034336853078</v>
      </c>
      <c r="D9" s="84">
        <v>670749</v>
      </c>
      <c r="E9" s="86">
        <f>D9/D$10</f>
        <v>0.04049048156851818</v>
      </c>
      <c r="F9" s="84">
        <v>666044</v>
      </c>
      <c r="G9" s="86">
        <f>F9/F$10</f>
        <v>0.03944172913908716</v>
      </c>
      <c r="H9" s="84">
        <v>677904</v>
      </c>
      <c r="I9" s="86">
        <f>H9/H$10</f>
        <v>0.04052809245635499</v>
      </c>
      <c r="K9" s="87">
        <f>AVERAGE(I9,G9,E9)</f>
        <v>0.040153434387986776</v>
      </c>
    </row>
    <row r="10" spans="1:11" s="74" customFormat="1" ht="13.5" thickBot="1">
      <c r="A10" s="84"/>
      <c r="B10" s="88">
        <f aca="true" t="shared" si="0" ref="B10:I10">SUM(B7:B9)</f>
        <v>15830979</v>
      </c>
      <c r="C10" s="89">
        <f t="shared" si="0"/>
        <v>0.9999999999999999</v>
      </c>
      <c r="D10" s="88">
        <f t="shared" si="0"/>
        <v>16565597</v>
      </c>
      <c r="E10" s="89">
        <f t="shared" si="0"/>
        <v>1</v>
      </c>
      <c r="F10" s="88">
        <f t="shared" si="0"/>
        <v>16886785</v>
      </c>
      <c r="G10" s="89">
        <f t="shared" si="0"/>
        <v>1</v>
      </c>
      <c r="H10" s="88">
        <f t="shared" si="0"/>
        <v>16726768</v>
      </c>
      <c r="I10" s="89">
        <f t="shared" si="0"/>
        <v>1</v>
      </c>
      <c r="K10" s="90">
        <f>SUM(K7:K9)</f>
        <v>1</v>
      </c>
    </row>
    <row r="11" spans="1:9" s="74" customFormat="1" ht="12.75">
      <c r="A11" s="84"/>
      <c r="B11" s="84"/>
      <c r="C11" s="91"/>
      <c r="D11" s="84"/>
      <c r="E11" s="91"/>
      <c r="F11" s="84"/>
      <c r="G11" s="91"/>
      <c r="H11" s="84"/>
      <c r="I11" s="91"/>
    </row>
    <row r="12" spans="1:8" ht="12.75">
      <c r="A12" s="84" t="s">
        <v>93</v>
      </c>
      <c r="B12" s="92">
        <v>39654</v>
      </c>
      <c r="D12" s="92">
        <v>40030</v>
      </c>
      <c r="F12" s="92">
        <v>40318</v>
      </c>
      <c r="H12" s="92">
        <v>40765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 Schofield</dc:creator>
  <cp:keywords/>
  <dc:description/>
  <cp:lastModifiedBy>FCC</cp:lastModifiedBy>
  <cp:lastPrinted>2012-04-28T17:57:17Z</cp:lastPrinted>
  <dcterms:created xsi:type="dcterms:W3CDTF">2012-02-16T02:41:18Z</dcterms:created>
  <dcterms:modified xsi:type="dcterms:W3CDTF">2012-08-28T22:04:26Z</dcterms:modified>
  <cp:category/>
  <cp:version/>
  <cp:contentType/>
  <cp:contentStatus/>
</cp:coreProperties>
</file>